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6450" windowHeight="4815" activeTab="0"/>
  </bookViews>
  <sheets>
    <sheet name="прилож.2" sheetId="1" r:id="rId1"/>
    <sheet name="прилож.3" sheetId="2" r:id="rId2"/>
  </sheets>
  <definedNames>
    <definedName name="_xlnm.Print_Area" localSheetId="0">'прилож.2'!$A$1:$P$38</definedName>
    <definedName name="_xlnm.Print_Area" localSheetId="1">'прилож.3'!$A$1:$P$39</definedName>
  </definedNames>
  <calcPr fullCalcOnLoad="1"/>
</workbook>
</file>

<file path=xl/sharedStrings.xml><?xml version="1.0" encoding="utf-8"?>
<sst xmlns="http://schemas.openxmlformats.org/spreadsheetml/2006/main" count="94" uniqueCount="42">
  <si>
    <t>0100</t>
  </si>
  <si>
    <t>0300</t>
  </si>
  <si>
    <t>0400</t>
  </si>
  <si>
    <t>0500</t>
  </si>
  <si>
    <t>0700</t>
  </si>
  <si>
    <t>0800</t>
  </si>
  <si>
    <t>1000</t>
  </si>
  <si>
    <t>Общий итог</t>
  </si>
  <si>
    <t>0200</t>
  </si>
  <si>
    <t>Наименование раздела</t>
  </si>
  <si>
    <t>Нац.экономика</t>
  </si>
  <si>
    <t>ЖКХ</t>
  </si>
  <si>
    <t>Культура</t>
  </si>
  <si>
    <t>Образование</t>
  </si>
  <si>
    <t>Соц.политика</t>
  </si>
  <si>
    <t>Расходы всего</t>
  </si>
  <si>
    <t>Показатели динамики (темпы роста), %</t>
  </si>
  <si>
    <t xml:space="preserve"> </t>
  </si>
  <si>
    <t xml:space="preserve">Раз-дел </t>
  </si>
  <si>
    <t>Передан-ные полномо-чия</t>
  </si>
  <si>
    <t>Обслуж. муниц. долга</t>
  </si>
  <si>
    <t>Нац. безопасность и правоохр. деятельность</t>
  </si>
  <si>
    <t>Физическая культура и спорт</t>
  </si>
  <si>
    <t>Приложение 2</t>
  </si>
  <si>
    <t>к пояснительной записке</t>
  </si>
  <si>
    <t>Приложение 3</t>
  </si>
  <si>
    <t>Структура, %</t>
  </si>
  <si>
    <t>Нац. оборона</t>
  </si>
  <si>
    <t>Общегос. вопросы</t>
  </si>
  <si>
    <t>Нац. экономика</t>
  </si>
  <si>
    <r>
      <t>АНАЛИЗ ДИНАМИКИ РАСХОДНОЙ ЧАСТИ БЮДЖЕТА</t>
    </r>
    <r>
      <rPr>
        <b/>
        <sz val="10"/>
        <rFont val="Arial Cyr"/>
        <family val="0"/>
      </rPr>
      <t xml:space="preserve"> Гостицкого сельского поселения</t>
    </r>
  </si>
  <si>
    <r>
      <t xml:space="preserve">АНАЛИЗ ДИНАМИКИ РАСХОДНОЙ ЧАСТИ БЮДЖЕТА </t>
    </r>
    <r>
      <rPr>
        <b/>
        <sz val="10"/>
        <rFont val="Arial Cyr"/>
        <family val="0"/>
      </rPr>
      <t>Гостицкого сельского поселения</t>
    </r>
  </si>
  <si>
    <t xml:space="preserve">Собственные полномочия </t>
  </si>
  <si>
    <t>Собственные полномочия</t>
  </si>
  <si>
    <t xml:space="preserve">за счет налоговых, неналоговых доходов  и  дотации </t>
  </si>
  <si>
    <t xml:space="preserve"> за счет целевых межбюджетных трансфертов</t>
  </si>
  <si>
    <t>2023 ГОД</t>
  </si>
  <si>
    <t>2023 год</t>
  </si>
  <si>
    <t>по отраслевому признаку (проект на 2024 год к бюджету 2023 года по состоянию на 01.10.2023 г.)</t>
  </si>
  <si>
    <t>2024 ГОД</t>
  </si>
  <si>
    <t>2024 год</t>
  </si>
  <si>
    <r>
      <t xml:space="preserve">по отраслевому признаку (проект на 2024 год к </t>
    </r>
    <r>
      <rPr>
        <b/>
        <sz val="10"/>
        <rFont val="Arial Cyr"/>
        <family val="0"/>
      </rPr>
      <t>первоначальному</t>
    </r>
    <r>
      <rPr>
        <sz val="10"/>
        <rFont val="Arial Cyr"/>
        <family val="0"/>
      </rPr>
      <t xml:space="preserve"> бюджету на 2023 год)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</si>
</sst>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0.000"/>
    <numFmt numFmtId="176" formatCode="#,##0.000"/>
    <numFmt numFmtId="177" formatCode="#,##0.0000"/>
    <numFmt numFmtId="178" formatCode="0.00000"/>
    <numFmt numFmtId="179" formatCode="0.0000"/>
    <numFmt numFmtId="180" formatCode="0.000000"/>
    <numFmt numFmtId="181" formatCode="[$-FC19]d\ mmmm\ yyyy\ &quot;г.&quot;"/>
    <numFmt numFmtId="182" formatCode="_-* #,##0.0&quot;р.&quot;_-;\-* #,##0.0&quot;р.&quot;_-;_-* &quot;-&quot;?&quot;р.&quot;_-;_-@_-"/>
    <numFmt numFmtId="183" formatCode="_-* #,##0.0_р_._-;\-* #,##0.0_р_._-;_-* &quot;-&quot;??_р_._-;_-@_-"/>
    <numFmt numFmtId="184" formatCode="0.0%"/>
    <numFmt numFmtId="185" formatCode="000000"/>
    <numFmt numFmtId="186" formatCode="_-* #,##0.0\ _₽_-;\-* #,##0.0\ _₽_-;_-* &quot;-&quot;?\ _₽_-;_-@_-"/>
  </numFmts>
  <fonts count="48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0"/>
      <color indexed="22"/>
      <name val="Arial Cyr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0"/>
      <name val="Arial Cyr"/>
      <family val="0"/>
    </font>
    <font>
      <sz val="10"/>
      <color theme="0" tint="-0.04997999966144562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45" fillId="0" borderId="0" xfId="0" applyFont="1" applyAlignment="1">
      <alignment/>
    </xf>
    <xf numFmtId="172" fontId="45" fillId="0" borderId="0" xfId="0" applyNumberFormat="1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173" fontId="45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0" fontId="0" fillId="0" borderId="0" xfId="0" applyFont="1" applyAlignment="1">
      <alignment vertical="center" wrapText="1"/>
    </xf>
    <xf numFmtId="183" fontId="0" fillId="0" borderId="10" xfId="0" applyNumberFormat="1" applyFont="1" applyBorder="1" applyAlignment="1">
      <alignment horizontal="right" vertical="distributed"/>
    </xf>
    <xf numFmtId="183" fontId="0" fillId="0" borderId="11" xfId="0" applyNumberFormat="1" applyFont="1" applyBorder="1" applyAlignment="1">
      <alignment horizontal="right" vertical="distributed"/>
    </xf>
    <xf numFmtId="183" fontId="0" fillId="0" borderId="12" xfId="0" applyNumberFormat="1" applyFont="1" applyBorder="1" applyAlignment="1">
      <alignment horizontal="right" vertical="distributed"/>
    </xf>
    <xf numFmtId="183" fontId="0" fillId="0" borderId="13" xfId="0" applyNumberFormat="1" applyFont="1" applyBorder="1" applyAlignment="1">
      <alignment horizontal="right" vertical="distributed"/>
    </xf>
    <xf numFmtId="172" fontId="0" fillId="0" borderId="14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183" fontId="0" fillId="0" borderId="16" xfId="0" applyNumberFormat="1" applyFont="1" applyBorder="1" applyAlignment="1">
      <alignment horizontal="right" vertical="distributed"/>
    </xf>
    <xf numFmtId="183" fontId="0" fillId="0" borderId="12" xfId="0" applyNumberFormat="1" applyFont="1" applyBorder="1" applyAlignment="1">
      <alignment horizontal="right" vertical="distributed" wrapText="1"/>
    </xf>
    <xf numFmtId="172" fontId="0" fillId="0" borderId="14" xfId="0" applyNumberFormat="1" applyFont="1" applyBorder="1" applyAlignment="1">
      <alignment wrapText="1"/>
    </xf>
    <xf numFmtId="0" fontId="45" fillId="0" borderId="0" xfId="0" applyFont="1" applyAlignment="1">
      <alignment wrapText="1"/>
    </xf>
    <xf numFmtId="0" fontId="0" fillId="0" borderId="17" xfId="0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172" fontId="0" fillId="0" borderId="12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72" fontId="0" fillId="0" borderId="12" xfId="0" applyNumberFormat="1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19" xfId="0" applyNumberFormat="1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3" fillId="0" borderId="13" xfId="0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3" fontId="0" fillId="0" borderId="23" xfId="0" applyNumberFormat="1" applyFont="1" applyBorder="1" applyAlignment="1">
      <alignment horizontal="right" vertical="distributed"/>
    </xf>
    <xf numFmtId="172" fontId="0" fillId="0" borderId="23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83" fontId="46" fillId="0" borderId="12" xfId="0" applyNumberFormat="1" applyFont="1" applyBorder="1" applyAlignment="1">
      <alignment horizontal="right" vertical="distributed"/>
    </xf>
    <xf numFmtId="183" fontId="46" fillId="0" borderId="12" xfId="0" applyNumberFormat="1" applyFont="1" applyBorder="1" applyAlignment="1">
      <alignment horizontal="right" vertical="distributed" wrapText="1"/>
    </xf>
    <xf numFmtId="183" fontId="46" fillId="0" borderId="13" xfId="0" applyNumberFormat="1" applyFont="1" applyBorder="1" applyAlignment="1">
      <alignment horizontal="right" vertical="distributed"/>
    </xf>
    <xf numFmtId="183" fontId="0" fillId="0" borderId="16" xfId="0" applyNumberFormat="1" applyFont="1" applyBorder="1" applyAlignment="1">
      <alignment horizontal="right" vertical="distributed" wrapText="1"/>
    </xf>
    <xf numFmtId="0" fontId="0" fillId="0" borderId="24" xfId="0" applyFont="1" applyBorder="1" applyAlignment="1">
      <alignment horizontal="center"/>
    </xf>
    <xf numFmtId="0" fontId="3" fillId="0" borderId="17" xfId="0" applyFont="1" applyBorder="1" applyAlignment="1">
      <alignment/>
    </xf>
    <xf numFmtId="183" fontId="0" fillId="0" borderId="17" xfId="0" applyNumberFormat="1" applyFont="1" applyBorder="1" applyAlignment="1">
      <alignment horizontal="right" vertical="distributed"/>
    </xf>
    <xf numFmtId="183" fontId="0" fillId="0" borderId="25" xfId="0" applyNumberFormat="1" applyFont="1" applyBorder="1" applyAlignment="1">
      <alignment horizontal="right" vertical="distributed"/>
    </xf>
    <xf numFmtId="183" fontId="46" fillId="0" borderId="17" xfId="0" applyNumberFormat="1" applyFont="1" applyBorder="1" applyAlignment="1">
      <alignment horizontal="right" vertical="distributed"/>
    </xf>
    <xf numFmtId="172" fontId="0" fillId="0" borderId="17" xfId="0" applyNumberFormat="1" applyFont="1" applyBorder="1" applyAlignment="1">
      <alignment/>
    </xf>
    <xf numFmtId="172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72" fontId="0" fillId="0" borderId="14" xfId="0" applyNumberFormat="1" applyFont="1" applyBorder="1" applyAlignment="1">
      <alignment vertical="center"/>
    </xf>
    <xf numFmtId="183" fontId="47" fillId="0" borderId="12" xfId="0" applyNumberFormat="1" applyFont="1" applyBorder="1" applyAlignment="1">
      <alignment horizontal="right" vertical="distributed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2" fontId="0" fillId="0" borderId="33" xfId="0" applyNumberFormat="1" applyFont="1" applyBorder="1" applyAlignment="1">
      <alignment horizontal="center"/>
    </xf>
    <xf numFmtId="172" fontId="0" fillId="0" borderId="29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183" fontId="0" fillId="0" borderId="37" xfId="0" applyNumberFormat="1" applyFont="1" applyBorder="1" applyAlignment="1">
      <alignment horizontal="right" vertical="distributed"/>
    </xf>
    <xf numFmtId="0" fontId="0" fillId="0" borderId="13" xfId="0" applyBorder="1" applyAlignment="1">
      <alignment horizontal="center" vertical="center" wrapText="1"/>
    </xf>
    <xf numFmtId="183" fontId="47" fillId="0" borderId="37" xfId="0" applyNumberFormat="1" applyFont="1" applyBorder="1" applyAlignment="1">
      <alignment horizontal="right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2024 год по отраслям</a:t>
            </a:r>
          </a:p>
        </c:rich>
      </c:tx>
      <c:layout>
        <c:manualLayout>
          <c:xMode val="factor"/>
          <c:yMode val="factor"/>
          <c:x val="0.0345"/>
          <c:y val="-0.03825"/>
        </c:manualLayout>
      </c:layout>
      <c:spPr>
        <a:noFill/>
        <a:ln>
          <a:noFill/>
        </a:ln>
      </c:spPr>
    </c:title>
    <c:view3D>
      <c:rotX val="1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18"/>
          <c:y val="0.4185"/>
          <c:w val="0.54475"/>
          <c:h val="0.27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'прилож.2'!$B$9:$B$18</c:f>
              <c:strCache/>
            </c:strRef>
          </c:cat>
          <c:val>
            <c:numRef>
              <c:f>'прилож.2'!$J$9:$J$18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2023 год по отраслям</a:t>
            </a:r>
          </a:p>
        </c:rich>
      </c:tx>
      <c:layout>
        <c:manualLayout>
          <c:xMode val="factor"/>
          <c:yMode val="factor"/>
          <c:x val="0.0105"/>
          <c:y val="-0.03125"/>
        </c:manualLayout>
      </c:layout>
      <c:spPr>
        <a:noFill/>
        <a:ln>
          <a:noFill/>
        </a:ln>
      </c:spPr>
    </c:title>
    <c:view3D>
      <c:rotX val="1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46"/>
          <c:y val="0.28575"/>
          <c:w val="0.5155"/>
          <c:h val="0.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'прилож.2'!$B$9:$B$18</c:f>
              <c:strCache/>
            </c:strRef>
          </c:cat>
          <c:val>
            <c:numRef>
              <c:f>'прилож.2'!$F$9:$F$18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2024 год по отраслям</a:t>
            </a:r>
          </a:p>
        </c:rich>
      </c:tx>
      <c:layout>
        <c:manualLayout>
          <c:xMode val="factor"/>
          <c:yMode val="factor"/>
          <c:x val="0.01925"/>
          <c:y val="-0.03875"/>
        </c:manualLayout>
      </c:layout>
      <c:spPr>
        <a:noFill/>
        <a:ln>
          <a:noFill/>
        </a:ln>
      </c:spPr>
    </c:title>
    <c:view3D>
      <c:rotX val="1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6525"/>
          <c:y val="0.43875"/>
          <c:w val="0.5485"/>
          <c:h val="0.27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'прилож.3'!$B$9:$B$18</c:f>
              <c:strCache/>
            </c:strRef>
          </c:cat>
          <c:val>
            <c:numRef>
              <c:f>'прилож.3'!$P$9:$P$18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2023 год по отраслям</a:t>
            </a:r>
          </a:p>
        </c:rich>
      </c:tx>
      <c:layout>
        <c:manualLayout>
          <c:xMode val="factor"/>
          <c:yMode val="factor"/>
          <c:x val="0.01075"/>
          <c:y val="-0.01075"/>
        </c:manualLayout>
      </c:layout>
      <c:spPr>
        <a:noFill/>
        <a:ln>
          <a:noFill/>
        </a:ln>
      </c:spPr>
    </c:title>
    <c:view3D>
      <c:rotX val="1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8875"/>
          <c:y val="0.47975"/>
          <c:w val="0.5265"/>
          <c:h val="0.26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'прилож.3'!$B$9:$B$18</c:f>
              <c:strCache/>
            </c:strRef>
          </c:cat>
          <c:val>
            <c:numRef>
              <c:f>'прилож.3'!$F$9:$F$18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20</xdr:row>
      <xdr:rowOff>47625</xdr:rowOff>
    </xdr:from>
    <xdr:to>
      <xdr:col>15</xdr:col>
      <xdr:colOff>628650</xdr:colOff>
      <xdr:row>37</xdr:row>
      <xdr:rowOff>123825</xdr:rowOff>
    </xdr:to>
    <xdr:graphicFrame>
      <xdr:nvGraphicFramePr>
        <xdr:cNvPr id="1" name="Chart 2"/>
        <xdr:cNvGraphicFramePr/>
      </xdr:nvGraphicFramePr>
      <xdr:xfrm>
        <a:off x="6581775" y="4886325"/>
        <a:ext cx="67246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20</xdr:row>
      <xdr:rowOff>47625</xdr:rowOff>
    </xdr:from>
    <xdr:to>
      <xdr:col>7</xdr:col>
      <xdr:colOff>409575</xdr:colOff>
      <xdr:row>37</xdr:row>
      <xdr:rowOff>114300</xdr:rowOff>
    </xdr:to>
    <xdr:graphicFrame>
      <xdr:nvGraphicFramePr>
        <xdr:cNvPr id="2" name="Диаграмма 9"/>
        <xdr:cNvGraphicFramePr/>
      </xdr:nvGraphicFramePr>
      <xdr:xfrm>
        <a:off x="142875" y="4886325"/>
        <a:ext cx="63817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20</xdr:row>
      <xdr:rowOff>133350</xdr:rowOff>
    </xdr:from>
    <xdr:to>
      <xdr:col>15</xdr:col>
      <xdr:colOff>619125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6381750" y="5057775"/>
        <a:ext cx="63246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20</xdr:row>
      <xdr:rowOff>152400</xdr:rowOff>
    </xdr:from>
    <xdr:to>
      <xdr:col>7</xdr:col>
      <xdr:colOff>342900</xdr:colOff>
      <xdr:row>38</xdr:row>
      <xdr:rowOff>9525</xdr:rowOff>
    </xdr:to>
    <xdr:graphicFrame>
      <xdr:nvGraphicFramePr>
        <xdr:cNvPr id="2" name="Диаграмма 11"/>
        <xdr:cNvGraphicFramePr/>
      </xdr:nvGraphicFramePr>
      <xdr:xfrm>
        <a:off x="95250" y="5076825"/>
        <a:ext cx="61722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Normal="101" zoomScaleSheetLayoutView="100" zoomScalePageLayoutView="0" workbookViewId="0" topLeftCell="A1">
      <selection activeCell="U17" sqref="U17"/>
    </sheetView>
  </sheetViews>
  <sheetFormatPr defaultColWidth="8.875" defaultRowHeight="12.75"/>
  <cols>
    <col min="1" max="1" width="5.75390625" style="1" customWidth="1"/>
    <col min="2" max="2" width="20.75390625" style="1" customWidth="1"/>
    <col min="3" max="3" width="10.75390625" style="1" customWidth="1"/>
    <col min="4" max="4" width="11.75390625" style="1" customWidth="1"/>
    <col min="5" max="6" width="10.25390625" style="1" customWidth="1"/>
    <col min="7" max="7" width="10.75390625" style="1" customWidth="1"/>
    <col min="8" max="8" width="12.00390625" style="1" customWidth="1"/>
    <col min="9" max="10" width="10.25390625" style="1" customWidth="1"/>
    <col min="11" max="11" width="10.375" style="1" customWidth="1"/>
    <col min="12" max="12" width="12.00390625" style="1" customWidth="1"/>
    <col min="13" max="14" width="10.25390625" style="1" customWidth="1"/>
    <col min="15" max="15" width="10.75390625" style="2" customWidth="1"/>
    <col min="16" max="16" width="10.25390625" style="2" customWidth="1"/>
    <col min="17" max="17" width="10.25390625" style="1" customWidth="1"/>
    <col min="18" max="19" width="8.875" style="1" hidden="1" customWidth="1"/>
    <col min="20" max="16384" width="8.875" style="1" customWidth="1"/>
  </cols>
  <sheetData>
    <row r="1" spans="1:16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8" t="s">
        <v>23</v>
      </c>
    </row>
    <row r="2" spans="1:16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9" t="s">
        <v>24</v>
      </c>
    </row>
    <row r="3" spans="1:17" ht="12.75" customHeight="1">
      <c r="A3" s="6"/>
      <c r="B3" s="70" t="s">
        <v>30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0"/>
      <c r="O3" s="10"/>
      <c r="P3" s="10"/>
      <c r="Q3" s="3"/>
    </row>
    <row r="4" spans="1:17" ht="12.75" customHeight="1">
      <c r="A4" s="6"/>
      <c r="B4" s="70" t="s">
        <v>38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10"/>
      <c r="O4" s="10"/>
      <c r="P4" s="10"/>
      <c r="Q4" s="3"/>
    </row>
    <row r="5" spans="1:16" ht="13.5" thickBot="1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P5" s="7"/>
    </row>
    <row r="6" spans="2:16" ht="24.75" customHeight="1" thickBot="1">
      <c r="B6" s="6"/>
      <c r="C6" s="71" t="s">
        <v>36</v>
      </c>
      <c r="D6" s="72"/>
      <c r="E6" s="72"/>
      <c r="F6" s="73"/>
      <c r="G6" s="71" t="s">
        <v>39</v>
      </c>
      <c r="H6" s="72"/>
      <c r="I6" s="72"/>
      <c r="J6" s="73"/>
      <c r="K6" s="71" t="s">
        <v>16</v>
      </c>
      <c r="L6" s="72"/>
      <c r="M6" s="72"/>
      <c r="N6" s="72"/>
      <c r="O6" s="66" t="s">
        <v>26</v>
      </c>
      <c r="P6" s="67"/>
    </row>
    <row r="7" spans="1:16" ht="27" customHeight="1">
      <c r="A7" s="74" t="s">
        <v>18</v>
      </c>
      <c r="B7" s="62" t="s">
        <v>9</v>
      </c>
      <c r="C7" s="76" t="s">
        <v>32</v>
      </c>
      <c r="D7" s="62"/>
      <c r="E7" s="62" t="s">
        <v>19</v>
      </c>
      <c r="F7" s="62" t="s">
        <v>15</v>
      </c>
      <c r="G7" s="62" t="s">
        <v>33</v>
      </c>
      <c r="H7" s="62"/>
      <c r="I7" s="62" t="s">
        <v>19</v>
      </c>
      <c r="J7" s="57" t="s">
        <v>15</v>
      </c>
      <c r="K7" s="64" t="s">
        <v>33</v>
      </c>
      <c r="L7" s="65"/>
      <c r="M7" s="57" t="s">
        <v>19</v>
      </c>
      <c r="N7" s="57" t="s">
        <v>15</v>
      </c>
      <c r="O7" s="59" t="s">
        <v>37</v>
      </c>
      <c r="P7" s="60" t="s">
        <v>40</v>
      </c>
    </row>
    <row r="8" spans="1:16" ht="90" thickBot="1">
      <c r="A8" s="75"/>
      <c r="B8" s="63"/>
      <c r="C8" s="21" t="s">
        <v>34</v>
      </c>
      <c r="D8" s="21" t="s">
        <v>35</v>
      </c>
      <c r="E8" s="63"/>
      <c r="F8" s="63"/>
      <c r="G8" s="21" t="s">
        <v>34</v>
      </c>
      <c r="H8" s="21" t="s">
        <v>35</v>
      </c>
      <c r="I8" s="63"/>
      <c r="J8" s="58"/>
      <c r="K8" s="21" t="s">
        <v>34</v>
      </c>
      <c r="L8" s="78" t="s">
        <v>35</v>
      </c>
      <c r="M8" s="58"/>
      <c r="N8" s="58"/>
      <c r="O8" s="58"/>
      <c r="P8" s="61"/>
    </row>
    <row r="9" spans="1:16" ht="12.75">
      <c r="A9" s="26" t="s">
        <v>0</v>
      </c>
      <c r="B9" s="27" t="s">
        <v>28</v>
      </c>
      <c r="C9" s="12">
        <f>11241.4-D9-E9</f>
        <v>10097.3</v>
      </c>
      <c r="D9" s="12">
        <f>1141.1+3-3.5</f>
        <v>1140.6</v>
      </c>
      <c r="E9" s="12">
        <v>3.5</v>
      </c>
      <c r="F9" s="12">
        <f>C9+E9+D9</f>
        <v>11241.4</v>
      </c>
      <c r="G9" s="12">
        <f>12248.5-H9-I9</f>
        <v>12245</v>
      </c>
      <c r="H9" s="12">
        <v>0</v>
      </c>
      <c r="I9" s="12">
        <v>3.5</v>
      </c>
      <c r="J9" s="12">
        <f>G9+I9+H9</f>
        <v>12248.5</v>
      </c>
      <c r="K9" s="12">
        <f>G9/C9*100</f>
        <v>121.27004248660533</v>
      </c>
      <c r="L9" s="77">
        <f aca="true" t="shared" si="0" ref="L9:N18">H9/D9*100</f>
        <v>0</v>
      </c>
      <c r="M9" s="12">
        <f t="shared" si="0"/>
        <v>100</v>
      </c>
      <c r="N9" s="12">
        <f t="shared" si="0"/>
        <v>108.95884854199656</v>
      </c>
      <c r="O9" s="28">
        <f aca="true" t="shared" si="1" ref="O9:O18">F9/$F$20*100</f>
        <v>45.278200697616334</v>
      </c>
      <c r="P9" s="29">
        <f aca="true" t="shared" si="2" ref="P9:P18">J9/$J$20*100</f>
        <v>50.140615597483254</v>
      </c>
    </row>
    <row r="10" spans="1:16" ht="12.75">
      <c r="A10" s="30" t="s">
        <v>8</v>
      </c>
      <c r="B10" s="22" t="s">
        <v>27</v>
      </c>
      <c r="C10" s="13">
        <f>161.7-D10-E10</f>
        <v>0</v>
      </c>
      <c r="D10" s="13">
        <v>0</v>
      </c>
      <c r="E10" s="13">
        <v>161.7</v>
      </c>
      <c r="F10" s="17">
        <f aca="true" t="shared" si="3" ref="F10:F17">C10+E10+D10</f>
        <v>161.7</v>
      </c>
      <c r="G10" s="13">
        <f>168.6-H10-I10</f>
        <v>0</v>
      </c>
      <c r="H10" s="13">
        <v>0</v>
      </c>
      <c r="I10" s="13">
        <v>168.6</v>
      </c>
      <c r="J10" s="13">
        <f aca="true" t="shared" si="4" ref="J10:J18">G10+I10+H10</f>
        <v>168.6</v>
      </c>
      <c r="K10" s="79" t="e">
        <f>G10/C10*100</f>
        <v>#DIV/0!</v>
      </c>
      <c r="L10" s="56" t="e">
        <f t="shared" si="0"/>
        <v>#DIV/0!</v>
      </c>
      <c r="M10" s="13">
        <f t="shared" si="0"/>
        <v>104.26716141001855</v>
      </c>
      <c r="N10" s="13">
        <f t="shared" si="0"/>
        <v>104.26716141001855</v>
      </c>
      <c r="O10" s="23">
        <f t="shared" si="1"/>
        <v>0.6512965513908019</v>
      </c>
      <c r="P10" s="15">
        <f t="shared" si="2"/>
        <v>0.6901831072976834</v>
      </c>
    </row>
    <row r="11" spans="1:16" ht="22.5">
      <c r="A11" s="31" t="s">
        <v>1</v>
      </c>
      <c r="B11" s="24" t="s">
        <v>21</v>
      </c>
      <c r="C11" s="13">
        <f>397.5-D11-E11</f>
        <v>397.5</v>
      </c>
      <c r="D11" s="13">
        <v>0</v>
      </c>
      <c r="E11" s="13">
        <v>0</v>
      </c>
      <c r="F11" s="17">
        <f t="shared" si="3"/>
        <v>397.5</v>
      </c>
      <c r="G11" s="13">
        <f>276.8-H11-I11</f>
        <v>276.8</v>
      </c>
      <c r="H11" s="13">
        <v>0</v>
      </c>
      <c r="I11" s="13">
        <v>0</v>
      </c>
      <c r="J11" s="13">
        <f t="shared" si="4"/>
        <v>276.8</v>
      </c>
      <c r="K11" s="13">
        <f aca="true" t="shared" si="5" ref="K11:K18">G11/C11*100</f>
        <v>69.63522012578616</v>
      </c>
      <c r="L11" s="56" t="e">
        <f t="shared" si="0"/>
        <v>#DIV/0!</v>
      </c>
      <c r="M11" s="41" t="e">
        <f t="shared" si="0"/>
        <v>#DIV/0!</v>
      </c>
      <c r="N11" s="13">
        <f t="shared" si="0"/>
        <v>69.63522012578616</v>
      </c>
      <c r="O11" s="23">
        <f t="shared" si="1"/>
        <v>1.6010536745692256</v>
      </c>
      <c r="P11" s="15">
        <f t="shared" si="2"/>
        <v>1.1331120053380712</v>
      </c>
    </row>
    <row r="12" spans="1:16" ht="12.75">
      <c r="A12" s="31" t="s">
        <v>2</v>
      </c>
      <c r="B12" s="22" t="s">
        <v>29</v>
      </c>
      <c r="C12" s="13">
        <f>1874-D12-E12</f>
        <v>901.7</v>
      </c>
      <c r="D12" s="13">
        <f>971.8+0.5</f>
        <v>972.3</v>
      </c>
      <c r="E12" s="13">
        <v>0</v>
      </c>
      <c r="F12" s="17">
        <f t="shared" si="3"/>
        <v>1874</v>
      </c>
      <c r="G12" s="13">
        <f>556.8-H12-I12</f>
        <v>556.8</v>
      </c>
      <c r="H12" s="13">
        <v>0</v>
      </c>
      <c r="I12" s="13">
        <v>0</v>
      </c>
      <c r="J12" s="13">
        <f t="shared" si="4"/>
        <v>556.8</v>
      </c>
      <c r="K12" s="13">
        <f t="shared" si="5"/>
        <v>61.750027725407556</v>
      </c>
      <c r="L12" s="13">
        <f t="shared" si="0"/>
        <v>0</v>
      </c>
      <c r="M12" s="41" t="e">
        <f t="shared" si="0"/>
        <v>#DIV/0!</v>
      </c>
      <c r="N12" s="13">
        <f t="shared" si="0"/>
        <v>29.711846318036283</v>
      </c>
      <c r="O12" s="23">
        <f t="shared" si="1"/>
        <v>7.548112166396802</v>
      </c>
      <c r="P12" s="15">
        <f t="shared" si="2"/>
        <v>2.279323571431495</v>
      </c>
    </row>
    <row r="13" spans="1:16" ht="12.75">
      <c r="A13" s="31" t="s">
        <v>3</v>
      </c>
      <c r="B13" s="22" t="s">
        <v>11</v>
      </c>
      <c r="C13" s="13">
        <f>5784.3-D13</f>
        <v>4192.6</v>
      </c>
      <c r="D13" s="13">
        <f>126.7+1464.5+0.5</f>
        <v>1591.7</v>
      </c>
      <c r="E13" s="13">
        <v>0</v>
      </c>
      <c r="F13" s="17">
        <f t="shared" si="3"/>
        <v>5784.3</v>
      </c>
      <c r="G13" s="13">
        <f>5558.5-H13-I13</f>
        <v>2970.7</v>
      </c>
      <c r="H13" s="13">
        <f>2581+6.8</f>
        <v>2587.8</v>
      </c>
      <c r="I13" s="13">
        <v>0</v>
      </c>
      <c r="J13" s="13">
        <f t="shared" si="4"/>
        <v>5558.5</v>
      </c>
      <c r="K13" s="13">
        <f t="shared" si="5"/>
        <v>70.85579354100079</v>
      </c>
      <c r="L13" s="13">
        <f t="shared" si="0"/>
        <v>162.580888358359</v>
      </c>
      <c r="M13" s="41" t="e">
        <f t="shared" si="0"/>
        <v>#DIV/0!</v>
      </c>
      <c r="N13" s="13">
        <f t="shared" si="0"/>
        <v>96.09632972010442</v>
      </c>
      <c r="O13" s="23">
        <f t="shared" si="1"/>
        <v>23.29804973537301</v>
      </c>
      <c r="P13" s="15">
        <f t="shared" si="2"/>
        <v>22.7543463933225</v>
      </c>
    </row>
    <row r="14" spans="1:16" ht="12.75">
      <c r="A14" s="31" t="s">
        <v>4</v>
      </c>
      <c r="B14" s="22" t="s">
        <v>13</v>
      </c>
      <c r="C14" s="13">
        <f>105.2-D14-E14</f>
        <v>105.2</v>
      </c>
      <c r="D14" s="13">
        <v>0</v>
      </c>
      <c r="E14" s="13">
        <v>0</v>
      </c>
      <c r="F14" s="17">
        <f t="shared" si="3"/>
        <v>105.2</v>
      </c>
      <c r="G14" s="13">
        <f>17.4-H14-I14</f>
        <v>17.4</v>
      </c>
      <c r="H14" s="13">
        <v>0</v>
      </c>
      <c r="I14" s="13">
        <v>0</v>
      </c>
      <c r="J14" s="13">
        <f t="shared" si="4"/>
        <v>17.4</v>
      </c>
      <c r="K14" s="13">
        <f t="shared" si="5"/>
        <v>16.53992395437262</v>
      </c>
      <c r="L14" s="56" t="e">
        <f t="shared" si="0"/>
        <v>#DIV/0!</v>
      </c>
      <c r="M14" s="41" t="e">
        <f t="shared" si="0"/>
        <v>#DIV/0!</v>
      </c>
      <c r="N14" s="13">
        <f t="shared" si="0"/>
        <v>16.53992395437262</v>
      </c>
      <c r="O14" s="23">
        <f t="shared" si="1"/>
        <v>0.4237254001627233</v>
      </c>
      <c r="P14" s="15">
        <f t="shared" si="2"/>
        <v>0.07122886160723423</v>
      </c>
    </row>
    <row r="15" spans="1:16" ht="12.75">
      <c r="A15" s="31" t="s">
        <v>5</v>
      </c>
      <c r="B15" s="22" t="s">
        <v>12</v>
      </c>
      <c r="C15" s="13">
        <f>4870.2-D15-E15</f>
        <v>3301.6</v>
      </c>
      <c r="D15" s="13">
        <v>1568.6</v>
      </c>
      <c r="E15" s="13">
        <v>0</v>
      </c>
      <c r="F15" s="17">
        <f t="shared" si="3"/>
        <v>4870.2</v>
      </c>
      <c r="G15" s="13">
        <f>5243.5-H15-I15</f>
        <v>3670.9</v>
      </c>
      <c r="H15" s="13">
        <v>1572.6</v>
      </c>
      <c r="I15" s="13">
        <v>0</v>
      </c>
      <c r="J15" s="13">
        <f t="shared" si="4"/>
        <v>5243.5</v>
      </c>
      <c r="K15" s="13">
        <f t="shared" si="5"/>
        <v>111.18548582505451</v>
      </c>
      <c r="L15" s="13">
        <f t="shared" si="0"/>
        <v>100.25500446257809</v>
      </c>
      <c r="M15" s="41" t="e">
        <f t="shared" si="0"/>
        <v>#DIV/0!</v>
      </c>
      <c r="N15" s="13">
        <f t="shared" si="0"/>
        <v>107.66498295757876</v>
      </c>
      <c r="O15" s="23">
        <f t="shared" si="1"/>
        <v>19.616230455061743</v>
      </c>
      <c r="P15" s="15">
        <f t="shared" si="2"/>
        <v>21.464858381467398</v>
      </c>
    </row>
    <row r="16" spans="1:16" ht="12.75">
      <c r="A16" s="31" t="s">
        <v>6</v>
      </c>
      <c r="B16" s="22" t="s">
        <v>14</v>
      </c>
      <c r="C16" s="13">
        <f>332.4-D16-E16</f>
        <v>332.4</v>
      </c>
      <c r="D16" s="13">
        <v>0</v>
      </c>
      <c r="E16" s="13">
        <v>0</v>
      </c>
      <c r="F16" s="17">
        <f t="shared" si="3"/>
        <v>332.4</v>
      </c>
      <c r="G16" s="13">
        <v>357.2</v>
      </c>
      <c r="H16" s="13">
        <v>0</v>
      </c>
      <c r="I16" s="13">
        <v>0</v>
      </c>
      <c r="J16" s="13">
        <f t="shared" si="4"/>
        <v>357.2</v>
      </c>
      <c r="K16" s="13">
        <f t="shared" si="5"/>
        <v>107.46089049338148</v>
      </c>
      <c r="L16" s="56" t="e">
        <f t="shared" si="0"/>
        <v>#DIV/0!</v>
      </c>
      <c r="M16" s="41" t="e">
        <f t="shared" si="0"/>
        <v>#DIV/0!</v>
      </c>
      <c r="N16" s="13">
        <f t="shared" si="0"/>
        <v>107.46089049338148</v>
      </c>
      <c r="O16" s="23">
        <f t="shared" si="1"/>
        <v>1.338843374658643</v>
      </c>
      <c r="P16" s="15">
        <f t="shared" si="2"/>
        <v>1.4622384693163257</v>
      </c>
    </row>
    <row r="17" spans="1:16" s="20" customFormat="1" ht="22.5">
      <c r="A17" s="32">
        <v>1100</v>
      </c>
      <c r="B17" s="24" t="s">
        <v>22</v>
      </c>
      <c r="C17" s="18">
        <f>59.7-D17-E17</f>
        <v>59.7</v>
      </c>
      <c r="D17" s="18">
        <v>0</v>
      </c>
      <c r="E17" s="18">
        <v>0</v>
      </c>
      <c r="F17" s="44">
        <f t="shared" si="3"/>
        <v>59.7</v>
      </c>
      <c r="G17" s="13">
        <v>0</v>
      </c>
      <c r="H17" s="13"/>
      <c r="I17" s="13">
        <v>0</v>
      </c>
      <c r="J17" s="13">
        <f t="shared" si="4"/>
        <v>0</v>
      </c>
      <c r="K17" s="13">
        <f t="shared" si="5"/>
        <v>0</v>
      </c>
      <c r="L17" s="56" t="e">
        <f t="shared" si="0"/>
        <v>#DIV/0!</v>
      </c>
      <c r="M17" s="42" t="e">
        <f t="shared" si="0"/>
        <v>#DIV/0!</v>
      </c>
      <c r="N17" s="13">
        <f t="shared" si="0"/>
        <v>0</v>
      </c>
      <c r="O17" s="25">
        <f t="shared" si="1"/>
        <v>0.24046013678435918</v>
      </c>
      <c r="P17" s="19">
        <f t="shared" si="2"/>
        <v>0</v>
      </c>
    </row>
    <row r="18" spans="1:16" ht="13.5" thickBot="1">
      <c r="A18" s="45">
        <v>1300</v>
      </c>
      <c r="B18" s="46" t="s">
        <v>20</v>
      </c>
      <c r="C18" s="47">
        <f>1-D18-E18</f>
        <v>1</v>
      </c>
      <c r="D18" s="47">
        <v>0</v>
      </c>
      <c r="E18" s="47">
        <v>0</v>
      </c>
      <c r="F18" s="48">
        <f>C18+E18</f>
        <v>1</v>
      </c>
      <c r="G18" s="14">
        <f>1-H18-I18</f>
        <v>1</v>
      </c>
      <c r="H18" s="14">
        <v>0</v>
      </c>
      <c r="I18" s="14">
        <v>0</v>
      </c>
      <c r="J18" s="14">
        <f t="shared" si="4"/>
        <v>1</v>
      </c>
      <c r="K18" s="47">
        <f t="shared" si="5"/>
        <v>100</v>
      </c>
      <c r="L18" s="56" t="e">
        <f t="shared" si="0"/>
        <v>#DIV/0!</v>
      </c>
      <c r="M18" s="49" t="e">
        <f t="shared" si="0"/>
        <v>#DIV/0!</v>
      </c>
      <c r="N18" s="47">
        <f t="shared" si="0"/>
        <v>100</v>
      </c>
      <c r="O18" s="50">
        <f t="shared" si="1"/>
        <v>0.004027807986337674</v>
      </c>
      <c r="P18" s="51">
        <f t="shared" si="2"/>
        <v>0.004093612736047945</v>
      </c>
    </row>
    <row r="19" spans="1:16" ht="13.5" thickBot="1">
      <c r="A19" s="52"/>
      <c r="B19" s="53"/>
      <c r="C19" s="11"/>
      <c r="D19" s="11"/>
      <c r="E19" s="11"/>
      <c r="F19" s="11"/>
      <c r="G19" s="38"/>
      <c r="H19" s="38"/>
      <c r="I19" s="38"/>
      <c r="J19" s="38"/>
      <c r="K19" s="11"/>
      <c r="L19" s="11"/>
      <c r="M19" s="11"/>
      <c r="N19" s="11"/>
      <c r="O19" s="40"/>
      <c r="P19" s="16"/>
    </row>
    <row r="20" spans="1:16" ht="13.5" thickBot="1">
      <c r="A20" s="68" t="s">
        <v>7</v>
      </c>
      <c r="B20" s="69"/>
      <c r="C20" s="11">
        <f aca="true" t="shared" si="6" ref="C20:J20">SUM(C9:C18)</f>
        <v>19389.000000000004</v>
      </c>
      <c r="D20" s="11">
        <f t="shared" si="6"/>
        <v>5273.199999999999</v>
      </c>
      <c r="E20" s="11">
        <f t="shared" si="6"/>
        <v>165.2</v>
      </c>
      <c r="F20" s="11">
        <f t="shared" si="6"/>
        <v>24827.400000000005</v>
      </c>
      <c r="G20" s="11">
        <f t="shared" si="6"/>
        <v>20095.8</v>
      </c>
      <c r="H20" s="11">
        <f t="shared" si="6"/>
        <v>4160.4</v>
      </c>
      <c r="I20" s="11">
        <f t="shared" si="6"/>
        <v>172.1</v>
      </c>
      <c r="J20" s="11">
        <f t="shared" si="6"/>
        <v>24428.3</v>
      </c>
      <c r="K20" s="11">
        <f>G20/C20*100</f>
        <v>103.64536592913505</v>
      </c>
      <c r="L20" s="11">
        <f>H20/D20*100</f>
        <v>78.89706440112266</v>
      </c>
      <c r="M20" s="11">
        <f>I20/E20*100</f>
        <v>104.1767554479419</v>
      </c>
      <c r="N20" s="11">
        <f>J20/F20*100</f>
        <v>98.39250183265261</v>
      </c>
      <c r="O20" s="40">
        <f>F20/$F$20*100</f>
        <v>100</v>
      </c>
      <c r="P20" s="16">
        <f>J20/$J$20*100</f>
        <v>100</v>
      </c>
    </row>
    <row r="33" spans="1:6" ht="12.75">
      <c r="A33" s="4"/>
      <c r="B33" s="4"/>
      <c r="C33" s="5"/>
      <c r="D33" s="5"/>
      <c r="E33" s="5"/>
      <c r="F33" s="5"/>
    </row>
    <row r="34" spans="1:6" ht="12.75">
      <c r="A34" s="4"/>
      <c r="B34" s="4"/>
      <c r="C34" s="5"/>
      <c r="D34" s="5"/>
      <c r="E34" s="5"/>
      <c r="F34" s="5"/>
    </row>
  </sheetData>
  <sheetProtection/>
  <mergeCells count="20">
    <mergeCell ref="O6:P6"/>
    <mergeCell ref="A20:B20"/>
    <mergeCell ref="B3:M3"/>
    <mergeCell ref="B4:M4"/>
    <mergeCell ref="C6:F6"/>
    <mergeCell ref="G6:J6"/>
    <mergeCell ref="K6:N6"/>
    <mergeCell ref="A7:A8"/>
    <mergeCell ref="B7:B8"/>
    <mergeCell ref="C7:D7"/>
    <mergeCell ref="M7:M8"/>
    <mergeCell ref="N7:N8"/>
    <mergeCell ref="O7:O8"/>
    <mergeCell ref="P7:P8"/>
    <mergeCell ref="E7:E8"/>
    <mergeCell ref="F7:F8"/>
    <mergeCell ref="G7:H7"/>
    <mergeCell ref="I7:I8"/>
    <mergeCell ref="J7:J8"/>
    <mergeCell ref="K7:L7"/>
  </mergeCells>
  <printOptions horizontalCentered="1"/>
  <pageMargins left="0.3937007874015748" right="0.3937007874015748" top="0.984251968503937" bottom="0.1968503937007874" header="0.2755905511811024" footer="0.2362204724409449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SheetLayoutView="100" zoomScalePageLayoutView="0" workbookViewId="0" topLeftCell="A4">
      <selection activeCell="Y14" sqref="X14:Y14"/>
    </sheetView>
  </sheetViews>
  <sheetFormatPr defaultColWidth="9.00390625" defaultRowHeight="12.75"/>
  <cols>
    <col min="1" max="1" width="5.75390625" style="1" customWidth="1"/>
    <col min="2" max="2" width="20.75390625" style="1" customWidth="1"/>
    <col min="3" max="14" width="10.25390625" style="1" customWidth="1"/>
    <col min="15" max="16" width="9.125" style="2" customWidth="1"/>
    <col min="17" max="16384" width="9.125" style="1" customWidth="1"/>
  </cols>
  <sheetData>
    <row r="1" spans="1:16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8" t="s">
        <v>25</v>
      </c>
    </row>
    <row r="2" spans="1:16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9" t="s">
        <v>24</v>
      </c>
    </row>
    <row r="3" spans="1:16" ht="12.75">
      <c r="A3" s="6"/>
      <c r="B3" s="70" t="s">
        <v>31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0"/>
      <c r="O3" s="7"/>
      <c r="P3" s="7"/>
    </row>
    <row r="4" spans="1:16" ht="12.75">
      <c r="A4" s="6"/>
      <c r="B4" s="70" t="s">
        <v>41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10"/>
      <c r="O4" s="7"/>
      <c r="P4" s="7"/>
    </row>
    <row r="5" spans="1:16" ht="13.5" thickBot="1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P5" s="7"/>
    </row>
    <row r="6" spans="1:16" ht="24.75" customHeight="1" thickBot="1">
      <c r="A6" s="6"/>
      <c r="B6" s="6"/>
      <c r="C6" s="71" t="s">
        <v>36</v>
      </c>
      <c r="D6" s="72"/>
      <c r="E6" s="72"/>
      <c r="F6" s="73"/>
      <c r="G6" s="71" t="s">
        <v>39</v>
      </c>
      <c r="H6" s="72"/>
      <c r="I6" s="72"/>
      <c r="J6" s="73"/>
      <c r="K6" s="71" t="s">
        <v>16</v>
      </c>
      <c r="L6" s="72"/>
      <c r="M6" s="72"/>
      <c r="N6" s="72"/>
      <c r="O6" s="66" t="s">
        <v>26</v>
      </c>
      <c r="P6" s="67"/>
    </row>
    <row r="7" spans="1:16" ht="33.75" customHeight="1">
      <c r="A7" s="74" t="s">
        <v>18</v>
      </c>
      <c r="B7" s="62" t="s">
        <v>9</v>
      </c>
      <c r="C7" s="76" t="s">
        <v>32</v>
      </c>
      <c r="D7" s="62"/>
      <c r="E7" s="62" t="s">
        <v>19</v>
      </c>
      <c r="F7" s="62" t="s">
        <v>15</v>
      </c>
      <c r="G7" s="62" t="s">
        <v>33</v>
      </c>
      <c r="H7" s="62"/>
      <c r="I7" s="62" t="s">
        <v>19</v>
      </c>
      <c r="J7" s="57" t="s">
        <v>15</v>
      </c>
      <c r="K7" s="64" t="s">
        <v>33</v>
      </c>
      <c r="L7" s="65"/>
      <c r="M7" s="57" t="s">
        <v>19</v>
      </c>
      <c r="N7" s="57" t="s">
        <v>15</v>
      </c>
      <c r="O7" s="59" t="s">
        <v>37</v>
      </c>
      <c r="P7" s="60" t="s">
        <v>40</v>
      </c>
    </row>
    <row r="8" spans="1:16" ht="90" thickBot="1">
      <c r="A8" s="75"/>
      <c r="B8" s="63"/>
      <c r="C8" s="21" t="s">
        <v>34</v>
      </c>
      <c r="D8" s="21" t="s">
        <v>35</v>
      </c>
      <c r="E8" s="63"/>
      <c r="F8" s="63"/>
      <c r="G8" s="21" t="s">
        <v>34</v>
      </c>
      <c r="H8" s="21" t="s">
        <v>35</v>
      </c>
      <c r="I8" s="63"/>
      <c r="J8" s="58"/>
      <c r="K8" s="21" t="s">
        <v>34</v>
      </c>
      <c r="L8" s="78" t="s">
        <v>35</v>
      </c>
      <c r="M8" s="58"/>
      <c r="N8" s="58"/>
      <c r="O8" s="58"/>
      <c r="P8" s="61"/>
    </row>
    <row r="9" spans="1:16" ht="12.75">
      <c r="A9" s="26" t="s">
        <v>0</v>
      </c>
      <c r="B9" s="27" t="s">
        <v>28</v>
      </c>
      <c r="C9" s="12">
        <f>10848.6-D9-E9</f>
        <v>9791.7</v>
      </c>
      <c r="D9" s="12">
        <f>1050.4+3</f>
        <v>1053.4</v>
      </c>
      <c r="E9" s="12">
        <v>3.5</v>
      </c>
      <c r="F9" s="12">
        <f>C9+E9+D9</f>
        <v>10848.6</v>
      </c>
      <c r="G9" s="12">
        <f>12248.5-H9-I9</f>
        <v>12245</v>
      </c>
      <c r="H9" s="12">
        <v>0</v>
      </c>
      <c r="I9" s="12">
        <v>3.5</v>
      </c>
      <c r="J9" s="12">
        <f>G9+I9+H9</f>
        <v>12248.5</v>
      </c>
      <c r="K9" s="12">
        <f>G9/C9*100</f>
        <v>125.05489343015002</v>
      </c>
      <c r="L9" s="77">
        <f aca="true" t="shared" si="0" ref="L9:N18">H9/D9*100</f>
        <v>0</v>
      </c>
      <c r="M9" s="12">
        <f t="shared" si="0"/>
        <v>100</v>
      </c>
      <c r="N9" s="12">
        <f t="shared" si="0"/>
        <v>112.90396917574617</v>
      </c>
      <c r="O9" s="28">
        <f aca="true" t="shared" si="1" ref="O9:O17">F9/$F$20*100</f>
        <v>49.89031910930839</v>
      </c>
      <c r="P9" s="29">
        <f aca="true" t="shared" si="2" ref="P9:P17">J9/$J$20*100</f>
        <v>50.140615597483254</v>
      </c>
    </row>
    <row r="10" spans="1:16" ht="12.75">
      <c r="A10" s="30" t="s">
        <v>8</v>
      </c>
      <c r="B10" s="22" t="s">
        <v>27</v>
      </c>
      <c r="C10" s="13">
        <f>154.1-D10-E10</f>
        <v>0</v>
      </c>
      <c r="D10" s="13">
        <v>0</v>
      </c>
      <c r="E10" s="13">
        <v>154.1</v>
      </c>
      <c r="F10" s="13">
        <f aca="true" t="shared" si="3" ref="F10:F18">C10+E10+D10</f>
        <v>154.1</v>
      </c>
      <c r="G10" s="13">
        <f>168.6-H10-I10</f>
        <v>0</v>
      </c>
      <c r="H10" s="13">
        <v>0</v>
      </c>
      <c r="I10" s="13">
        <v>168.6</v>
      </c>
      <c r="J10" s="13">
        <f aca="true" t="shared" si="4" ref="J10:J18">G10+I10+H10</f>
        <v>168.6</v>
      </c>
      <c r="K10" s="79" t="e">
        <f>G10/C10*100</f>
        <v>#DIV/0!</v>
      </c>
      <c r="L10" s="56" t="e">
        <f t="shared" si="0"/>
        <v>#DIV/0!</v>
      </c>
      <c r="M10" s="13">
        <f t="shared" si="0"/>
        <v>109.40947436729395</v>
      </c>
      <c r="N10" s="13">
        <f t="shared" si="0"/>
        <v>109.40947436729395</v>
      </c>
      <c r="O10" s="23">
        <f t="shared" si="1"/>
        <v>0.7086719184728373</v>
      </c>
      <c r="P10" s="15">
        <f t="shared" si="2"/>
        <v>0.6901831072976834</v>
      </c>
    </row>
    <row r="11" spans="1:16" ht="22.5">
      <c r="A11" s="31" t="s">
        <v>1</v>
      </c>
      <c r="B11" s="24" t="s">
        <v>21</v>
      </c>
      <c r="C11" s="13">
        <f>207.6-D11-E11</f>
        <v>207.6</v>
      </c>
      <c r="D11" s="13">
        <v>0</v>
      </c>
      <c r="E11" s="13">
        <v>0</v>
      </c>
      <c r="F11" s="13">
        <f t="shared" si="3"/>
        <v>207.6</v>
      </c>
      <c r="G11" s="13">
        <f>276.8-H11-I11</f>
        <v>276.8</v>
      </c>
      <c r="H11" s="13">
        <v>0</v>
      </c>
      <c r="I11" s="13">
        <v>0</v>
      </c>
      <c r="J11" s="13">
        <f t="shared" si="4"/>
        <v>276.8</v>
      </c>
      <c r="K11" s="13">
        <f aca="true" t="shared" si="5" ref="K11:K18">G11/C11*100</f>
        <v>133.33333333333334</v>
      </c>
      <c r="L11" s="56" t="e">
        <f t="shared" si="0"/>
        <v>#DIV/0!</v>
      </c>
      <c r="M11" s="41" t="e">
        <f t="shared" si="0"/>
        <v>#DIV/0!</v>
      </c>
      <c r="N11" s="13">
        <f t="shared" si="0"/>
        <v>133.33333333333334</v>
      </c>
      <c r="O11" s="54">
        <f t="shared" si="1"/>
        <v>0.9547066208628231</v>
      </c>
      <c r="P11" s="55">
        <f t="shared" si="2"/>
        <v>1.1331120053380712</v>
      </c>
    </row>
    <row r="12" spans="1:16" ht="12.75">
      <c r="A12" s="31" t="s">
        <v>2</v>
      </c>
      <c r="B12" s="22" t="s">
        <v>10</v>
      </c>
      <c r="C12" s="13">
        <f>1498.9-D12-E12</f>
        <v>526.6000000000001</v>
      </c>
      <c r="D12" s="13">
        <f>971.8+0.5</f>
        <v>972.3</v>
      </c>
      <c r="E12" s="13">
        <v>0</v>
      </c>
      <c r="F12" s="13">
        <f t="shared" si="3"/>
        <v>1498.9</v>
      </c>
      <c r="G12" s="13">
        <f>556.8-H12-I12</f>
        <v>556.8</v>
      </c>
      <c r="H12" s="13">
        <v>0</v>
      </c>
      <c r="I12" s="13">
        <v>0</v>
      </c>
      <c r="J12" s="13">
        <f t="shared" si="4"/>
        <v>556.8</v>
      </c>
      <c r="K12" s="13">
        <f t="shared" si="5"/>
        <v>105.73490315229772</v>
      </c>
      <c r="L12" s="13">
        <f t="shared" si="0"/>
        <v>0</v>
      </c>
      <c r="M12" s="41" t="e">
        <f t="shared" si="0"/>
        <v>#DIV/0!</v>
      </c>
      <c r="N12" s="13">
        <f t="shared" si="0"/>
        <v>37.14724131029421</v>
      </c>
      <c r="O12" s="23">
        <f t="shared" si="1"/>
        <v>6.893110568455133</v>
      </c>
      <c r="P12" s="15">
        <f t="shared" si="2"/>
        <v>2.279323571431495</v>
      </c>
    </row>
    <row r="13" spans="1:16" ht="12.75">
      <c r="A13" s="31" t="s">
        <v>3</v>
      </c>
      <c r="B13" s="22" t="s">
        <v>11</v>
      </c>
      <c r="C13" s="13">
        <f>4073.1-D13-E13</f>
        <v>3406.5</v>
      </c>
      <c r="D13" s="13">
        <f>666.1+0.5</f>
        <v>666.6</v>
      </c>
      <c r="E13" s="13">
        <v>0</v>
      </c>
      <c r="F13" s="13">
        <f t="shared" si="3"/>
        <v>4073.1</v>
      </c>
      <c r="G13" s="13">
        <f>5558.5-H13-I13</f>
        <v>2970.7</v>
      </c>
      <c r="H13" s="13">
        <f>2581+6.8</f>
        <v>2587.8</v>
      </c>
      <c r="I13" s="13">
        <v>0</v>
      </c>
      <c r="J13" s="13">
        <f t="shared" si="4"/>
        <v>5558.5</v>
      </c>
      <c r="K13" s="13">
        <f t="shared" si="5"/>
        <v>87.2068105093204</v>
      </c>
      <c r="L13" s="13">
        <f t="shared" si="0"/>
        <v>388.2088208820882</v>
      </c>
      <c r="M13" s="41" t="e">
        <f t="shared" si="0"/>
        <v>#DIV/0!</v>
      </c>
      <c r="N13" s="13">
        <f t="shared" si="0"/>
        <v>136.46853747759693</v>
      </c>
      <c r="O13" s="23">
        <f t="shared" si="1"/>
        <v>18.73128871597478</v>
      </c>
      <c r="P13" s="15">
        <f t="shared" si="2"/>
        <v>22.7543463933225</v>
      </c>
    </row>
    <row r="14" spans="1:16" ht="12.75">
      <c r="A14" s="31" t="s">
        <v>4</v>
      </c>
      <c r="B14" s="22" t="s">
        <v>13</v>
      </c>
      <c r="C14" s="13">
        <f>94.1-D14-E14</f>
        <v>94.1</v>
      </c>
      <c r="D14" s="13">
        <v>0</v>
      </c>
      <c r="E14" s="13">
        <v>0</v>
      </c>
      <c r="F14" s="13">
        <f t="shared" si="3"/>
        <v>94.1</v>
      </c>
      <c r="G14" s="13">
        <f>17.4-H14-I14</f>
        <v>17.4</v>
      </c>
      <c r="H14" s="13">
        <v>0</v>
      </c>
      <c r="I14" s="13">
        <v>0</v>
      </c>
      <c r="J14" s="13">
        <f t="shared" si="4"/>
        <v>17.4</v>
      </c>
      <c r="K14" s="13">
        <f t="shared" si="5"/>
        <v>18.49096705632306</v>
      </c>
      <c r="L14" s="56" t="e">
        <f t="shared" si="0"/>
        <v>#DIV/0!</v>
      </c>
      <c r="M14" s="41" t="e">
        <f t="shared" si="0"/>
        <v>#DIV/0!</v>
      </c>
      <c r="N14" s="13">
        <f t="shared" si="0"/>
        <v>18.49096705632306</v>
      </c>
      <c r="O14" s="23">
        <f t="shared" si="1"/>
        <v>0.4327451494373393</v>
      </c>
      <c r="P14" s="15">
        <f t="shared" si="2"/>
        <v>0.07122886160723423</v>
      </c>
    </row>
    <row r="15" spans="1:16" ht="12.75">
      <c r="A15" s="31" t="s">
        <v>5</v>
      </c>
      <c r="B15" s="22" t="s">
        <v>12</v>
      </c>
      <c r="C15" s="13">
        <f>4475.4-D15-E15</f>
        <v>3055.7999999999997</v>
      </c>
      <c r="D15" s="13">
        <v>1419.6</v>
      </c>
      <c r="E15" s="13">
        <v>0</v>
      </c>
      <c r="F15" s="13">
        <f t="shared" si="3"/>
        <v>4475.4</v>
      </c>
      <c r="G15" s="13">
        <f>5243.5-H15-I15</f>
        <v>3670.9</v>
      </c>
      <c r="H15" s="13">
        <v>1572.6</v>
      </c>
      <c r="I15" s="13">
        <v>0</v>
      </c>
      <c r="J15" s="13">
        <f t="shared" si="4"/>
        <v>5243.5</v>
      </c>
      <c r="K15" s="13">
        <f t="shared" si="5"/>
        <v>120.12893513973428</v>
      </c>
      <c r="L15" s="13">
        <f t="shared" si="0"/>
        <v>110.77768385460693</v>
      </c>
      <c r="M15" s="41" t="e">
        <f t="shared" si="0"/>
        <v>#DIV/0!</v>
      </c>
      <c r="N15" s="13">
        <f t="shared" si="0"/>
        <v>117.16271171291952</v>
      </c>
      <c r="O15" s="23">
        <f t="shared" si="1"/>
        <v>20.581377702357795</v>
      </c>
      <c r="P15" s="15">
        <f t="shared" si="2"/>
        <v>21.464858381467398</v>
      </c>
    </row>
    <row r="16" spans="1:16" ht="12.75">
      <c r="A16" s="31" t="s">
        <v>6</v>
      </c>
      <c r="B16" s="22" t="s">
        <v>14</v>
      </c>
      <c r="C16" s="13">
        <f>332.4-D16-E16</f>
        <v>332.4</v>
      </c>
      <c r="D16" s="13">
        <v>0</v>
      </c>
      <c r="E16" s="13">
        <v>0</v>
      </c>
      <c r="F16" s="13">
        <f t="shared" si="3"/>
        <v>332.4</v>
      </c>
      <c r="G16" s="13">
        <v>357.2</v>
      </c>
      <c r="H16" s="13">
        <v>0</v>
      </c>
      <c r="I16" s="13">
        <v>0</v>
      </c>
      <c r="J16" s="13">
        <f t="shared" si="4"/>
        <v>357.2</v>
      </c>
      <c r="K16" s="13">
        <f t="shared" si="5"/>
        <v>107.46089049338148</v>
      </c>
      <c r="L16" s="56" t="e">
        <f t="shared" si="0"/>
        <v>#DIV/0!</v>
      </c>
      <c r="M16" s="41" t="e">
        <f t="shared" si="0"/>
        <v>#DIV/0!</v>
      </c>
      <c r="N16" s="13">
        <f t="shared" si="0"/>
        <v>107.46089049338148</v>
      </c>
      <c r="O16" s="23">
        <f t="shared" si="1"/>
        <v>1.528634300456659</v>
      </c>
      <c r="P16" s="15">
        <f t="shared" si="2"/>
        <v>1.4622384693163257</v>
      </c>
    </row>
    <row r="17" spans="1:16" ht="22.5">
      <c r="A17" s="31">
        <v>1100</v>
      </c>
      <c r="B17" s="24" t="s">
        <v>22</v>
      </c>
      <c r="C17" s="13">
        <f>59.7-D17-E17</f>
        <v>59.7</v>
      </c>
      <c r="D17" s="13"/>
      <c r="E17" s="13">
        <v>0</v>
      </c>
      <c r="F17" s="13">
        <f t="shared" si="3"/>
        <v>59.7</v>
      </c>
      <c r="G17" s="13">
        <v>0</v>
      </c>
      <c r="H17" s="13"/>
      <c r="I17" s="13">
        <v>0</v>
      </c>
      <c r="J17" s="13">
        <f t="shared" si="4"/>
        <v>0</v>
      </c>
      <c r="K17" s="13">
        <f t="shared" si="5"/>
        <v>0</v>
      </c>
      <c r="L17" s="56" t="e">
        <f t="shared" si="0"/>
        <v>#DIV/0!</v>
      </c>
      <c r="M17" s="41" t="e">
        <f t="shared" si="0"/>
        <v>#DIV/0!</v>
      </c>
      <c r="N17" s="13">
        <f t="shared" si="0"/>
        <v>0</v>
      </c>
      <c r="O17" s="23">
        <f t="shared" si="1"/>
        <v>0.27454713519032053</v>
      </c>
      <c r="P17" s="15">
        <f t="shared" si="2"/>
        <v>0</v>
      </c>
    </row>
    <row r="18" spans="1:16" ht="13.5" thickBot="1">
      <c r="A18" s="33">
        <v>1300</v>
      </c>
      <c r="B18" s="34" t="s">
        <v>20</v>
      </c>
      <c r="C18" s="14">
        <f>1-D18-E18</f>
        <v>1</v>
      </c>
      <c r="D18" s="14">
        <v>0</v>
      </c>
      <c r="E18" s="14">
        <v>0</v>
      </c>
      <c r="F18" s="14">
        <f t="shared" si="3"/>
        <v>1</v>
      </c>
      <c r="G18" s="14">
        <f>1-H18-I18</f>
        <v>1</v>
      </c>
      <c r="H18" s="14">
        <v>0</v>
      </c>
      <c r="I18" s="14">
        <v>0</v>
      </c>
      <c r="J18" s="14">
        <f t="shared" si="4"/>
        <v>1</v>
      </c>
      <c r="K18" s="14">
        <f t="shared" si="5"/>
        <v>100</v>
      </c>
      <c r="L18" s="56" t="e">
        <f t="shared" si="0"/>
        <v>#DIV/0!</v>
      </c>
      <c r="M18" s="43" t="e">
        <f t="shared" si="0"/>
        <v>#DIV/0!</v>
      </c>
      <c r="N18" s="14">
        <f t="shared" si="0"/>
        <v>100</v>
      </c>
      <c r="O18" s="35">
        <f>F18/$F$20*100</f>
        <v>0.004598779483924967</v>
      </c>
      <c r="P18" s="36">
        <f>J18/$J$20*100</f>
        <v>0.004093612736047945</v>
      </c>
    </row>
    <row r="19" spans="1:16" ht="13.5" thickBot="1">
      <c r="A19" s="37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39"/>
    </row>
    <row r="20" spans="1:16" ht="13.5" thickBot="1">
      <c r="A20" s="68" t="s">
        <v>7</v>
      </c>
      <c r="B20" s="69"/>
      <c r="C20" s="11">
        <f aca="true" t="shared" si="6" ref="C20:J20">SUM(C9:C18)</f>
        <v>17475.400000000005</v>
      </c>
      <c r="D20" s="11">
        <f t="shared" si="6"/>
        <v>4111.9</v>
      </c>
      <c r="E20" s="11">
        <f t="shared" si="6"/>
        <v>157.6</v>
      </c>
      <c r="F20" s="11">
        <f t="shared" si="6"/>
        <v>21744.899999999998</v>
      </c>
      <c r="G20" s="11">
        <f t="shared" si="6"/>
        <v>20095.8</v>
      </c>
      <c r="H20" s="11">
        <f t="shared" si="6"/>
        <v>4160.4</v>
      </c>
      <c r="I20" s="11">
        <f t="shared" si="6"/>
        <v>172.1</v>
      </c>
      <c r="J20" s="11">
        <f t="shared" si="6"/>
        <v>24428.3</v>
      </c>
      <c r="K20" s="11">
        <f>G20/C20*100</f>
        <v>114.99479267999584</v>
      </c>
      <c r="L20" s="11">
        <f>H20/D20*100</f>
        <v>101.17950339259222</v>
      </c>
      <c r="M20" s="11">
        <f>I20/E20*100</f>
        <v>109.20050761421321</v>
      </c>
      <c r="N20" s="11">
        <f>J20/F20*100</f>
        <v>112.34036486716425</v>
      </c>
      <c r="O20" s="40">
        <f>F20/$F$20*100</f>
        <v>100</v>
      </c>
      <c r="P20" s="16">
        <f>J20/$J$20*100</f>
        <v>100</v>
      </c>
    </row>
    <row r="33" spans="1:5" ht="12.75">
      <c r="A33" s="4"/>
      <c r="B33" s="4"/>
      <c r="C33" s="5"/>
      <c r="D33" s="5"/>
      <c r="E33" s="5"/>
    </row>
    <row r="34" spans="1:5" ht="12.75">
      <c r="A34" s="4"/>
      <c r="B34" s="4"/>
      <c r="C34" s="5"/>
      <c r="D34" s="5"/>
      <c r="E34" s="5"/>
    </row>
  </sheetData>
  <sheetProtection/>
  <mergeCells count="20">
    <mergeCell ref="O6:P6"/>
    <mergeCell ref="A20:B20"/>
    <mergeCell ref="B3:M3"/>
    <mergeCell ref="B4:M4"/>
    <mergeCell ref="C6:F6"/>
    <mergeCell ref="G6:J6"/>
    <mergeCell ref="K6:N6"/>
    <mergeCell ref="A7:A8"/>
    <mergeCell ref="B7:B8"/>
    <mergeCell ref="C7:D7"/>
    <mergeCell ref="M7:M8"/>
    <mergeCell ref="N7:N8"/>
    <mergeCell ref="O7:O8"/>
    <mergeCell ref="P7:P8"/>
    <mergeCell ref="E7:E8"/>
    <mergeCell ref="F7:F8"/>
    <mergeCell ref="G7:H7"/>
    <mergeCell ref="I7:I8"/>
    <mergeCell ref="J7:J8"/>
    <mergeCell ref="K7:L7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Рулёва Татьяна Ю.</cp:lastModifiedBy>
  <cp:lastPrinted>2023-11-02T07:19:05Z</cp:lastPrinted>
  <dcterms:created xsi:type="dcterms:W3CDTF">2006-11-15T13:48:52Z</dcterms:created>
  <dcterms:modified xsi:type="dcterms:W3CDTF">2023-11-09T08:37:28Z</dcterms:modified>
  <cp:category/>
  <cp:version/>
  <cp:contentType/>
  <cp:contentStatus/>
</cp:coreProperties>
</file>